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ino\Desktop\"/>
    </mc:Choice>
  </mc:AlternateContent>
  <xr:revisionPtr revIDLastSave="0" documentId="8_{575104CA-AF7B-43B0-A3CC-0920A36F717E}" xr6:coauthVersionLast="46" xr6:coauthVersionMax="46" xr10:uidLastSave="{00000000-0000-0000-0000-000000000000}"/>
  <bookViews>
    <workbookView xWindow="4068" yWindow="2796" windowWidth="17280" windowHeight="8964" xr2:uid="{6CFA5051-3DB1-4861-A6D8-D0F0E607354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2" i="1"/>
  <c r="C8" i="1"/>
  <c r="C9" i="1"/>
  <c r="J19" i="1"/>
  <c r="B20" i="1"/>
  <c r="C20" i="1"/>
  <c r="C29" i="1" s="1"/>
  <c r="C33" i="1" s="1"/>
  <c r="C38" i="1" s="1"/>
  <c r="D20" i="1"/>
  <c r="D29" i="1" s="1"/>
  <c r="D33" i="1" s="1"/>
  <c r="D38" i="1" s="1"/>
  <c r="E20" i="1"/>
  <c r="F20" i="1"/>
  <c r="F29" i="1" s="1"/>
  <c r="F33" i="1" s="1"/>
  <c r="F38" i="1" s="1"/>
  <c r="G20" i="1"/>
  <c r="H20" i="1"/>
  <c r="B21" i="1"/>
  <c r="C21" i="1"/>
  <c r="D21" i="1"/>
  <c r="J21" i="1" s="1"/>
  <c r="E21" i="1"/>
  <c r="F21" i="1"/>
  <c r="G21" i="1"/>
  <c r="H21" i="1"/>
  <c r="J23" i="1"/>
  <c r="J24" i="1"/>
  <c r="J26" i="1"/>
  <c r="J27" i="1"/>
  <c r="B29" i="1"/>
  <c r="E29" i="1"/>
  <c r="E33" i="1" s="1"/>
  <c r="E38" i="1" s="1"/>
  <c r="G29" i="1"/>
  <c r="H29" i="1"/>
  <c r="B31" i="1"/>
  <c r="C31" i="1"/>
  <c r="D31" i="1"/>
  <c r="E31" i="1"/>
  <c r="F31" i="1"/>
  <c r="G31" i="1"/>
  <c r="H31" i="1"/>
  <c r="I31" i="1"/>
  <c r="J31" i="1"/>
  <c r="B33" i="1"/>
  <c r="G33" i="1"/>
  <c r="H33" i="1"/>
  <c r="H38" i="1" s="1"/>
  <c r="J35" i="1"/>
  <c r="C12" i="1" s="1"/>
  <c r="D13" i="1" s="1"/>
  <c r="B38" i="1"/>
  <c r="G38" i="1"/>
  <c r="B40" i="1"/>
  <c r="C40" i="1"/>
  <c r="D40" i="1"/>
  <c r="E40" i="1"/>
  <c r="F40" i="1"/>
  <c r="G40" i="1"/>
  <c r="B41" i="1"/>
  <c r="C41" i="1"/>
  <c r="D41" i="1"/>
  <c r="E41" i="1"/>
  <c r="F41" i="1"/>
  <c r="G41" i="1"/>
  <c r="G55" i="1" s="1"/>
  <c r="J44" i="1"/>
  <c r="J49" i="1" s="1"/>
  <c r="J45" i="1"/>
  <c r="E46" i="1"/>
  <c r="J46" i="1"/>
  <c r="B47" i="1"/>
  <c r="J47" i="1" s="1"/>
  <c r="C47" i="1"/>
  <c r="C56" i="1" s="1"/>
  <c r="D47" i="1"/>
  <c r="E47" i="1"/>
  <c r="E56" i="1" s="1"/>
  <c r="F47" i="1"/>
  <c r="F55" i="1" s="1"/>
  <c r="G47" i="1"/>
  <c r="H47" i="1"/>
  <c r="J50" i="1"/>
  <c r="B55" i="1"/>
  <c r="C55" i="1"/>
  <c r="E55" i="1"/>
  <c r="J55" i="1" l="1"/>
  <c r="K55" i="1" s="1"/>
  <c r="G56" i="1"/>
  <c r="J52" i="1"/>
  <c r="J56" i="1"/>
  <c r="K56" i="1" s="1"/>
  <c r="J20" i="1"/>
  <c r="J29" i="1" s="1"/>
  <c r="J33" i="1" s="1"/>
  <c r="J38" i="1" s="1"/>
</calcChain>
</file>

<file path=xl/sharedStrings.xml><?xml version="1.0" encoding="utf-8"?>
<sst xmlns="http://schemas.openxmlformats.org/spreadsheetml/2006/main" count="45" uniqueCount="40">
  <si>
    <t>PPP Non Salary</t>
  </si>
  <si>
    <t>PPP Salary</t>
  </si>
  <si>
    <t>PPP to be repaid</t>
  </si>
  <si>
    <t>Eligible CARES Act Funding</t>
  </si>
  <si>
    <t>Total "Forgiveness"</t>
  </si>
  <si>
    <t>PPP</t>
  </si>
  <si>
    <t>ERTC</t>
  </si>
  <si>
    <t>(needs to be in healthcare areas)</t>
  </si>
  <si>
    <t>HHS - Revenue</t>
  </si>
  <si>
    <t>HHS (Covid Related)</t>
  </si>
  <si>
    <t>Allowable Admin</t>
  </si>
  <si>
    <t>Admin %</t>
  </si>
  <si>
    <t>Profit/(Loss)</t>
  </si>
  <si>
    <t>Revenue</t>
  </si>
  <si>
    <t>Total</t>
  </si>
  <si>
    <t>Admin</t>
  </si>
  <si>
    <t>Non-allowable Prop &amp; Equip</t>
  </si>
  <si>
    <t>PPP Allowable Prop &amp; Equip</t>
  </si>
  <si>
    <t xml:space="preserve"> </t>
  </si>
  <si>
    <t>Non-allowable OTPS</t>
  </si>
  <si>
    <t>PPP Allowable OTPS</t>
  </si>
  <si>
    <t>Non-allowable Fringes</t>
  </si>
  <si>
    <t>PPP Allowable Fringes</t>
  </si>
  <si>
    <t>Salaries</t>
  </si>
  <si>
    <t>Development</t>
  </si>
  <si>
    <t>Cost Based</t>
  </si>
  <si>
    <t>Fee Based</t>
  </si>
  <si>
    <t>IDEA</t>
  </si>
  <si>
    <t>Based</t>
  </si>
  <si>
    <t>Other Programs</t>
  </si>
  <si>
    <t>OPWDD</t>
  </si>
  <si>
    <t>SED Fee</t>
  </si>
  <si>
    <t xml:space="preserve">SED Cost </t>
  </si>
  <si>
    <t>Decline</t>
  </si>
  <si>
    <t>118 employees</t>
  </si>
  <si>
    <t>(January 2021 to June 2021)</t>
  </si>
  <si>
    <t>ERTC Funding</t>
  </si>
  <si>
    <t>HHS Funding</t>
  </si>
  <si>
    <t>PPP Loan</t>
  </si>
  <si>
    <t>Assumptions: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</si>
</sst>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0" fontId="0" fillId="0" borderId="0" xfId="2" applyNumberFormat="1" applyFont="1"/>
    <xf numFmtId="43" fontId="0" fillId="0" borderId="0" xfId="0" applyNumberFormat="1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041%20(Example%20PP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P"/>
      <sheetName val="Mixed"/>
    </sheetNames>
    <sheetDataSet>
      <sheetData sheetId="0">
        <row r="1">
          <cell r="A1" t="str">
            <v>Sample Nonprofit</v>
          </cell>
        </row>
        <row r="2">
          <cell r="A2" t="str">
            <v>Year ending June 30, 2021</v>
          </cell>
        </row>
        <row r="26">
          <cell r="B26">
            <v>239754.23233190042</v>
          </cell>
          <cell r="C26">
            <v>77734.504128419096</v>
          </cell>
          <cell r="E26">
            <v>550756.26296576916</v>
          </cell>
          <cell r="F26">
            <v>411006.31367947714</v>
          </cell>
          <cell r="G26">
            <v>26090.686894434126</v>
          </cell>
          <cell r="H26">
            <v>-1305341.9999999998</v>
          </cell>
          <cell r="J26">
            <v>0</v>
          </cell>
        </row>
        <row r="30">
          <cell r="B30">
            <v>2156745</v>
          </cell>
          <cell r="C30">
            <v>816321</v>
          </cell>
          <cell r="D30">
            <v>81671</v>
          </cell>
          <cell r="E30">
            <v>5416354</v>
          </cell>
          <cell r="F30">
            <v>3812596</v>
          </cell>
        </row>
        <row r="35">
          <cell r="B35">
            <v>0.18367158364007322</v>
          </cell>
          <cell r="C35">
            <v>5.9551063344640033E-2</v>
          </cell>
          <cell r="D35">
            <v>0</v>
          </cell>
          <cell r="E35">
            <v>0.42192487713240612</v>
          </cell>
          <cell r="F35">
            <v>0.31486485049854923</v>
          </cell>
          <cell r="G35">
            <v>1.9987625384331562E-2</v>
          </cell>
        </row>
        <row r="36">
          <cell r="B36">
            <v>154643.75921842878</v>
          </cell>
          <cell r="C36">
            <v>50139.494191526435</v>
          </cell>
          <cell r="D36">
            <v>0</v>
          </cell>
          <cell r="E36">
            <v>355243.02570064639</v>
          </cell>
          <cell r="F36">
            <v>265102.97979605751</v>
          </cell>
          <cell r="G36">
            <v>16828.741093341032</v>
          </cell>
          <cell r="M36">
            <v>0.79457645155696577</v>
          </cell>
        </row>
        <row r="41">
          <cell r="B41">
            <v>69062.292331900448</v>
          </cell>
          <cell r="C41">
            <v>114303.45885762759</v>
          </cell>
          <cell r="D41">
            <v>0</v>
          </cell>
          <cell r="E41">
            <v>1676406.4734002985</v>
          </cell>
          <cell r="F41">
            <v>25217.3136794772</v>
          </cell>
          <cell r="G41">
            <v>90170.649735388157</v>
          </cell>
        </row>
        <row r="42">
          <cell r="J42">
            <v>1895000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44ADB-DBDD-4E49-ACD8-5B987502C8C9}">
  <dimension ref="A1:K56"/>
  <sheetViews>
    <sheetView tabSelected="1" workbookViewId="0">
      <selection activeCell="C3" sqref="C3"/>
    </sheetView>
  </sheetViews>
  <sheetFormatPr defaultRowHeight="14.4" x14ac:dyDescent="0.3"/>
  <cols>
    <col min="1" max="1" width="29.109375" customWidth="1"/>
    <col min="2" max="2" width="12.21875" customWidth="1"/>
    <col min="3" max="3" width="13.6640625" style="1" bestFit="1" customWidth="1"/>
    <col min="4" max="5" width="13" customWidth="1"/>
    <col min="6" max="6" width="15" customWidth="1"/>
    <col min="7" max="7" width="15.109375" customWidth="1"/>
    <col min="8" max="8" width="13" customWidth="1"/>
    <col min="9" max="9" width="2.109375" customWidth="1"/>
    <col min="10" max="10" width="13" customWidth="1"/>
  </cols>
  <sheetData>
    <row r="1" spans="1:7" x14ac:dyDescent="0.3">
      <c r="A1" t="str">
        <f>+[1]PPP!A1</f>
        <v>Sample Nonprofit</v>
      </c>
    </row>
    <row r="2" spans="1:7" x14ac:dyDescent="0.3">
      <c r="A2" t="str">
        <f>+[1]PPP!A2</f>
        <v>Year ending June 30, 2021</v>
      </c>
    </row>
    <row r="6" spans="1:7" x14ac:dyDescent="0.3">
      <c r="A6" t="s">
        <v>39</v>
      </c>
    </row>
    <row r="8" spans="1:7" x14ac:dyDescent="0.3">
      <c r="A8" t="s">
        <v>38</v>
      </c>
      <c r="C8" s="1">
        <f>+[1]PPP!J42</f>
        <v>1895000</v>
      </c>
    </row>
    <row r="9" spans="1:7" x14ac:dyDescent="0.3">
      <c r="A9" t="s">
        <v>37</v>
      </c>
      <c r="C9" s="1">
        <f>0.02*SUM([1]PPP!B30:F30)</f>
        <v>245673.74</v>
      </c>
    </row>
    <row r="10" spans="1:7" x14ac:dyDescent="0.3">
      <c r="A10" t="s">
        <v>36</v>
      </c>
      <c r="C10" s="1">
        <v>482000</v>
      </c>
      <c r="D10" t="s">
        <v>35</v>
      </c>
      <c r="G10" t="s">
        <v>34</v>
      </c>
    </row>
    <row r="12" spans="1:7" x14ac:dyDescent="0.3">
      <c r="A12" t="s">
        <v>13</v>
      </c>
      <c r="B12">
        <v>2021</v>
      </c>
      <c r="C12" s="1">
        <f>+J35</f>
        <v>12716544</v>
      </c>
    </row>
    <row r="13" spans="1:7" x14ac:dyDescent="0.3">
      <c r="B13">
        <v>2019</v>
      </c>
      <c r="C13" s="1">
        <v>17456832</v>
      </c>
      <c r="D13" s="2">
        <f>1-(+C12/C13)</f>
        <v>0.27154342781095675</v>
      </c>
      <c r="E13" t="s">
        <v>33</v>
      </c>
    </row>
    <row r="16" spans="1:7" s="9" customFormat="1" x14ac:dyDescent="0.3">
      <c r="B16" s="10" t="s">
        <v>32</v>
      </c>
      <c r="C16" s="9" t="s">
        <v>31</v>
      </c>
      <c r="E16" s="9" t="s">
        <v>30</v>
      </c>
      <c r="F16" s="9" t="s">
        <v>29</v>
      </c>
    </row>
    <row r="17" spans="1:10" s="7" customFormat="1" x14ac:dyDescent="0.3">
      <c r="B17" s="8" t="s">
        <v>28</v>
      </c>
      <c r="C17" s="7" t="s">
        <v>28</v>
      </c>
      <c r="D17" s="7" t="s">
        <v>27</v>
      </c>
      <c r="E17" s="7" t="s">
        <v>26</v>
      </c>
      <c r="F17" s="7" t="s">
        <v>25</v>
      </c>
      <c r="G17" s="7" t="s">
        <v>24</v>
      </c>
      <c r="H17" s="7" t="s">
        <v>15</v>
      </c>
      <c r="J17" s="7" t="s">
        <v>14</v>
      </c>
    </row>
    <row r="18" spans="1:10" x14ac:dyDescent="0.3">
      <c r="B18" s="1"/>
      <c r="C18"/>
    </row>
    <row r="19" spans="1:10" x14ac:dyDescent="0.3">
      <c r="A19" t="s">
        <v>23</v>
      </c>
      <c r="B19" s="5">
        <v>1358423</v>
      </c>
      <c r="C19" s="5">
        <v>158000</v>
      </c>
      <c r="D19" s="5">
        <v>48000</v>
      </c>
      <c r="E19" s="5">
        <v>2785000</v>
      </c>
      <c r="F19" s="5">
        <v>2587000</v>
      </c>
      <c r="G19" s="5">
        <v>150000</v>
      </c>
      <c r="H19" s="5">
        <v>925000</v>
      </c>
      <c r="I19" s="5"/>
      <c r="J19" s="5">
        <f>SUM(B19:I19)</f>
        <v>8011423</v>
      </c>
    </row>
    <row r="20" spans="1:10" x14ac:dyDescent="0.3">
      <c r="A20" t="s">
        <v>22</v>
      </c>
      <c r="B20" s="5">
        <f>+B19*0.12</f>
        <v>163010.75999999998</v>
      </c>
      <c r="C20" s="5">
        <f>+C19*0.12</f>
        <v>18960</v>
      </c>
      <c r="D20" s="5">
        <f>+D19*0.12</f>
        <v>5760</v>
      </c>
      <c r="E20" s="5">
        <f>+E19*0.12</f>
        <v>334200</v>
      </c>
      <c r="F20" s="5">
        <f>+F19*0.12</f>
        <v>310440</v>
      </c>
      <c r="G20" s="5">
        <f>+G19*0.12</f>
        <v>18000</v>
      </c>
      <c r="H20" s="5">
        <f>+H19*0.12</f>
        <v>111000</v>
      </c>
      <c r="I20" s="5"/>
      <c r="J20" s="5">
        <f>SUM(B20:I20)</f>
        <v>961370.76</v>
      </c>
    </row>
    <row r="21" spans="1:10" x14ac:dyDescent="0.3">
      <c r="A21" t="s">
        <v>21</v>
      </c>
      <c r="B21" s="5">
        <f>+B19*0.1</f>
        <v>135842.30000000002</v>
      </c>
      <c r="C21" s="5">
        <f>+C19*0.1</f>
        <v>15800</v>
      </c>
      <c r="D21" s="5">
        <f>+D19*0.1</f>
        <v>4800</v>
      </c>
      <c r="E21" s="5">
        <f>+E19*0.1</f>
        <v>278500</v>
      </c>
      <c r="F21" s="5">
        <f>+F19*0.1</f>
        <v>258700</v>
      </c>
      <c r="G21" s="5">
        <f>+G19*0.1</f>
        <v>15000</v>
      </c>
      <c r="H21" s="5">
        <f>+H19*0.1</f>
        <v>92500</v>
      </c>
      <c r="I21" s="5"/>
      <c r="J21" s="5">
        <f>SUM(B21:I21)</f>
        <v>801142.3</v>
      </c>
    </row>
    <row r="22" spans="1:10" x14ac:dyDescent="0.3"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3">
      <c r="A23" t="s">
        <v>20</v>
      </c>
      <c r="B23" s="5">
        <v>36543</v>
      </c>
      <c r="C23" s="5">
        <v>12447</v>
      </c>
      <c r="D23" s="5"/>
      <c r="E23" s="5">
        <v>63195</v>
      </c>
      <c r="F23" s="5">
        <v>48726</v>
      </c>
      <c r="G23" s="5">
        <v>7421</v>
      </c>
      <c r="H23" s="5">
        <v>19845</v>
      </c>
      <c r="I23" s="5"/>
      <c r="J23" s="5">
        <f>SUM(B23:I23)</f>
        <v>188177</v>
      </c>
    </row>
    <row r="24" spans="1:10" x14ac:dyDescent="0.3">
      <c r="A24" t="s">
        <v>19</v>
      </c>
      <c r="B24" s="5">
        <v>223567</v>
      </c>
      <c r="C24" s="5">
        <v>416459</v>
      </c>
      <c r="D24" s="5">
        <v>23111</v>
      </c>
      <c r="E24" s="5">
        <v>943667</v>
      </c>
      <c r="F24" s="5">
        <v>82074</v>
      </c>
      <c r="G24" s="5">
        <v>18234</v>
      </c>
      <c r="H24" s="5">
        <v>93568</v>
      </c>
      <c r="I24" s="5"/>
      <c r="J24" s="5">
        <f>SUM(B24:I24)</f>
        <v>1800680</v>
      </c>
    </row>
    <row r="25" spans="1:10" x14ac:dyDescent="0.3">
      <c r="A25" t="s">
        <v>18</v>
      </c>
      <c r="B25" s="5" t="s">
        <v>18</v>
      </c>
      <c r="C25" s="5"/>
      <c r="D25" s="5"/>
      <c r="E25" s="5"/>
      <c r="F25" s="5"/>
      <c r="G25" s="5"/>
      <c r="H25" s="5"/>
      <c r="I25" s="5"/>
      <c r="J25" s="5"/>
    </row>
    <row r="26" spans="1:10" x14ac:dyDescent="0.3">
      <c r="A26" t="s">
        <v>17</v>
      </c>
      <c r="B26" s="5">
        <v>42100</v>
      </c>
      <c r="C26" s="5">
        <v>8111</v>
      </c>
      <c r="D26" s="5"/>
      <c r="E26" s="5">
        <v>94576</v>
      </c>
      <c r="F26" s="5">
        <v>92349</v>
      </c>
      <c r="G26" s="5">
        <v>3120</v>
      </c>
      <c r="H26" s="5">
        <v>42113</v>
      </c>
      <c r="I26" s="5"/>
      <c r="J26" s="5">
        <f>SUM(B26:I26)</f>
        <v>282369</v>
      </c>
    </row>
    <row r="27" spans="1:10" x14ac:dyDescent="0.3">
      <c r="A27" t="s">
        <v>16</v>
      </c>
      <c r="B27" s="5">
        <v>26567</v>
      </c>
      <c r="C27" s="5">
        <v>3457</v>
      </c>
      <c r="D27" s="5"/>
      <c r="E27" s="5">
        <v>51192</v>
      </c>
      <c r="F27" s="5">
        <v>47518</v>
      </c>
      <c r="G27" s="5">
        <v>1378</v>
      </c>
      <c r="H27" s="5">
        <v>21316</v>
      </c>
      <c r="I27" s="5"/>
      <c r="J27" s="5">
        <f>SUM(B27:I27)</f>
        <v>151428</v>
      </c>
    </row>
    <row r="28" spans="1:10" x14ac:dyDescent="0.3">
      <c r="B28" s="6"/>
      <c r="C28" s="6"/>
      <c r="D28" s="6"/>
      <c r="E28" s="6"/>
      <c r="F28" s="6"/>
      <c r="G28" s="6"/>
      <c r="H28" s="6"/>
      <c r="I28" s="5"/>
      <c r="J28" s="6"/>
    </row>
    <row r="29" spans="1:10" x14ac:dyDescent="0.3">
      <c r="B29" s="5">
        <f>SUM(B19:B28)</f>
        <v>1986053.06</v>
      </c>
      <c r="C29" s="5">
        <f>SUM(C19:C28)</f>
        <v>633234</v>
      </c>
      <c r="D29" s="5">
        <f>SUM(D19:D28)</f>
        <v>81671</v>
      </c>
      <c r="E29" s="5">
        <f>SUM(E19:E28)</f>
        <v>4550330</v>
      </c>
      <c r="F29" s="5">
        <f>SUM(F19:F28)</f>
        <v>3426807</v>
      </c>
      <c r="G29" s="5">
        <f>SUM(G19:G28)</f>
        <v>213153</v>
      </c>
      <c r="H29" s="5">
        <f>SUM(H19:H28)</f>
        <v>1305342</v>
      </c>
      <c r="I29" s="5"/>
      <c r="J29" s="5">
        <f>SUM(J19:J28)</f>
        <v>12196590.060000001</v>
      </c>
    </row>
    <row r="30" spans="1:10" x14ac:dyDescent="0.3"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3">
      <c r="A31" t="s">
        <v>15</v>
      </c>
      <c r="B31" s="5">
        <f>+[1]PPP!B26</f>
        <v>239754.23233190042</v>
      </c>
      <c r="C31" s="5">
        <f>+[1]PPP!C26</f>
        <v>77734.504128419096</v>
      </c>
      <c r="D31" s="5">
        <f>+[1]PPP!D26</f>
        <v>0</v>
      </c>
      <c r="E31" s="5">
        <f>+[1]PPP!E26</f>
        <v>550756.26296576916</v>
      </c>
      <c r="F31" s="5">
        <f>+[1]PPP!F26</f>
        <v>411006.31367947714</v>
      </c>
      <c r="G31" s="5">
        <f>+[1]PPP!G26</f>
        <v>26090.686894434126</v>
      </c>
      <c r="H31" s="5">
        <f>+[1]PPP!H26</f>
        <v>-1305341.9999999998</v>
      </c>
      <c r="I31" s="5">
        <f>+[1]PPP!I26</f>
        <v>0</v>
      </c>
      <c r="J31" s="5">
        <f>+[1]PPP!J26</f>
        <v>0</v>
      </c>
    </row>
    <row r="32" spans="1:10" x14ac:dyDescent="0.3">
      <c r="B32" s="6"/>
      <c r="C32" s="6"/>
      <c r="D32" s="6"/>
      <c r="E32" s="6"/>
      <c r="F32" s="6"/>
      <c r="G32" s="6"/>
      <c r="H32" s="6"/>
      <c r="I32" s="5"/>
      <c r="J32" s="6"/>
    </row>
    <row r="33" spans="1:11" x14ac:dyDescent="0.3">
      <c r="A33" t="s">
        <v>14</v>
      </c>
      <c r="B33" s="5">
        <f>SUM(B29:B32)</f>
        <v>2225807.2923319004</v>
      </c>
      <c r="C33" s="5">
        <f>SUM(C29:C32)</f>
        <v>710968.5041284191</v>
      </c>
      <c r="D33" s="5">
        <f>SUM(D29:D32)</f>
        <v>81671</v>
      </c>
      <c r="E33" s="5">
        <f>SUM(E29:E32)</f>
        <v>5101086.2629657695</v>
      </c>
      <c r="F33" s="5">
        <f>SUM(F29:F32)</f>
        <v>3837813.3136794772</v>
      </c>
      <c r="G33" s="5">
        <f>SUM(G29:G32)</f>
        <v>239243.68689443413</v>
      </c>
      <c r="H33" s="5">
        <f>SUM(H29:H32)</f>
        <v>0</v>
      </c>
      <c r="I33" s="5"/>
      <c r="J33" s="5">
        <f>SUM(J29:J32)</f>
        <v>12196590.060000001</v>
      </c>
    </row>
    <row r="34" spans="1:11" x14ac:dyDescent="0.3">
      <c r="B34" s="5"/>
      <c r="C34" s="5"/>
      <c r="D34" s="5"/>
      <c r="E34" s="5"/>
      <c r="F34" s="5"/>
      <c r="G34" s="5"/>
      <c r="H34" s="5"/>
      <c r="I34" s="5"/>
      <c r="J34" s="5"/>
    </row>
    <row r="35" spans="1:11" x14ac:dyDescent="0.3">
      <c r="A35" t="s">
        <v>13</v>
      </c>
      <c r="B35" s="5">
        <v>2156745</v>
      </c>
      <c r="C35" s="5">
        <v>816321</v>
      </c>
      <c r="D35" s="5">
        <v>81671</v>
      </c>
      <c r="E35" s="5">
        <v>5416354</v>
      </c>
      <c r="F35" s="5">
        <v>3812596</v>
      </c>
      <c r="G35" s="5">
        <v>432857</v>
      </c>
      <c r="H35" s="5"/>
      <c r="I35" s="5"/>
      <c r="J35" s="5">
        <f>SUM(B35:I35)</f>
        <v>12716544</v>
      </c>
    </row>
    <row r="36" spans="1:11" x14ac:dyDescent="0.3">
      <c r="B36" s="6"/>
      <c r="C36" s="6"/>
      <c r="D36" s="6"/>
      <c r="E36" s="6"/>
      <c r="F36" s="6"/>
      <c r="G36" s="6"/>
      <c r="H36" s="6"/>
      <c r="I36" s="5"/>
      <c r="J36" s="6"/>
    </row>
    <row r="37" spans="1:11" x14ac:dyDescent="0.3">
      <c r="B37" s="5"/>
      <c r="C37" s="5"/>
      <c r="D37" s="5"/>
      <c r="E37" s="5"/>
      <c r="F37" s="5"/>
      <c r="G37" s="5"/>
      <c r="H37" s="5"/>
      <c r="I37" s="5"/>
      <c r="J37" s="5"/>
    </row>
    <row r="38" spans="1:11" x14ac:dyDescent="0.3">
      <c r="A38" t="s">
        <v>12</v>
      </c>
      <c r="B38" s="5">
        <f>+B35-B33</f>
        <v>-69062.292331900448</v>
      </c>
      <c r="C38" s="5">
        <f>+C35-C33</f>
        <v>105352.4958715809</v>
      </c>
      <c r="D38" s="5">
        <f>+D35-D33</f>
        <v>0</v>
      </c>
      <c r="E38" s="5">
        <f>+E35-E33</f>
        <v>315267.73703423049</v>
      </c>
      <c r="F38" s="5">
        <f>+F35-F33</f>
        <v>-25217.3136794772</v>
      </c>
      <c r="G38" s="5">
        <f>+G35-G33</f>
        <v>193613.31310556587</v>
      </c>
      <c r="H38" s="5">
        <f>+H35-H33</f>
        <v>0</v>
      </c>
      <c r="I38" s="5"/>
      <c r="J38" s="5">
        <f>+J35-J33</f>
        <v>519953.93999999948</v>
      </c>
    </row>
    <row r="39" spans="1:11" x14ac:dyDescent="0.3">
      <c r="B39" s="5"/>
      <c r="C39" s="5"/>
      <c r="D39" s="5"/>
      <c r="E39" s="5"/>
      <c r="F39" s="5"/>
      <c r="G39" s="5"/>
      <c r="H39" s="5"/>
      <c r="I39" s="5"/>
      <c r="J39" s="5"/>
    </row>
    <row r="40" spans="1:11" x14ac:dyDescent="0.3">
      <c r="A40" t="s">
        <v>11</v>
      </c>
      <c r="B40" s="2">
        <f>+[1]PPP!B35</f>
        <v>0.18367158364007322</v>
      </c>
      <c r="C40" s="2">
        <f>+[1]PPP!C35</f>
        <v>5.9551063344640033E-2</v>
      </c>
      <c r="D40" s="2">
        <f>+[1]PPP!D35</f>
        <v>0</v>
      </c>
      <c r="E40" s="2">
        <f>+[1]PPP!E35</f>
        <v>0.42192487713240612</v>
      </c>
      <c r="F40" s="2">
        <f>+[1]PPP!F35</f>
        <v>0.31486485049854923</v>
      </c>
      <c r="G40" s="2">
        <f>+[1]PPP!G35</f>
        <v>1.9987625384331562E-2</v>
      </c>
      <c r="H40" s="5"/>
      <c r="I40" s="5"/>
      <c r="J40" s="5"/>
    </row>
    <row r="41" spans="1:11" x14ac:dyDescent="0.3">
      <c r="A41" t="s">
        <v>10</v>
      </c>
      <c r="B41" s="5">
        <f>+[1]PPP!B36</f>
        <v>154643.75921842878</v>
      </c>
      <c r="C41" s="5">
        <f>+[1]PPP!C36</f>
        <v>50139.494191526435</v>
      </c>
      <c r="D41" s="5">
        <f>+[1]PPP!D36</f>
        <v>0</v>
      </c>
      <c r="E41" s="5">
        <f>+[1]PPP!E36</f>
        <v>355243.02570064639</v>
      </c>
      <c r="F41" s="5">
        <f>+[1]PPP!F36</f>
        <v>265102.97979605751</v>
      </c>
      <c r="G41" s="5">
        <f>+[1]PPP!G36</f>
        <v>16828.741093341032</v>
      </c>
      <c r="H41" s="5"/>
      <c r="I41" s="5"/>
      <c r="J41" s="5"/>
    </row>
    <row r="44" spans="1:11" x14ac:dyDescent="0.3">
      <c r="A44" t="s">
        <v>9</v>
      </c>
      <c r="B44" s="1">
        <v>0</v>
      </c>
      <c r="C44" s="1">
        <v>0</v>
      </c>
      <c r="D44" s="1">
        <v>0</v>
      </c>
      <c r="E44" s="1">
        <v>7234</v>
      </c>
      <c r="F44" s="1">
        <v>0</v>
      </c>
      <c r="G44" s="1">
        <v>0</v>
      </c>
      <c r="H44" s="1">
        <v>0</v>
      </c>
      <c r="I44" s="1"/>
      <c r="J44" s="1">
        <f>SUM(B44:H44)</f>
        <v>7234</v>
      </c>
    </row>
    <row r="45" spans="1:11" x14ac:dyDescent="0.3">
      <c r="A45" t="s">
        <v>8</v>
      </c>
      <c r="B45" s="1"/>
      <c r="D45" s="1"/>
      <c r="E45" s="1"/>
      <c r="F45" s="1"/>
      <c r="G45" s="1"/>
      <c r="H45" s="1"/>
      <c r="I45" s="1"/>
      <c r="J45" s="1">
        <f>+C9-J44</f>
        <v>238439.74</v>
      </c>
      <c r="K45" t="s">
        <v>7</v>
      </c>
    </row>
    <row r="46" spans="1:11" x14ac:dyDescent="0.3">
      <c r="A46" t="s">
        <v>6</v>
      </c>
      <c r="B46" s="1"/>
      <c r="C46" s="1">
        <v>28000</v>
      </c>
      <c r="D46" s="1"/>
      <c r="E46" s="1">
        <f>+C10-C46-G46</f>
        <v>426000</v>
      </c>
      <c r="F46" s="1"/>
      <c r="G46" s="1">
        <v>28000</v>
      </c>
      <c r="H46" s="1"/>
      <c r="I46" s="1"/>
      <c r="J46" s="1">
        <f>SUM(B46:H46)</f>
        <v>482000</v>
      </c>
    </row>
    <row r="47" spans="1:11" x14ac:dyDescent="0.3">
      <c r="A47" t="s">
        <v>5</v>
      </c>
      <c r="B47" s="1">
        <f>+[1]PPP!B41-Sheet1!B44-Sheet1!B45-Sheet1!B46</f>
        <v>69062.292331900448</v>
      </c>
      <c r="C47" s="1">
        <f>+[1]PPP!C41-Sheet1!C44-Sheet1!C45-Sheet1!C46</f>
        <v>86303.458857627586</v>
      </c>
      <c r="D47" s="1">
        <f>+[1]PPP!D41-Sheet1!D44-Sheet1!D45-Sheet1!D46</f>
        <v>0</v>
      </c>
      <c r="E47" s="1">
        <f>+[1]PPP!E41-Sheet1!E44-Sheet1!E45-Sheet1!E46</f>
        <v>1243172.4734002985</v>
      </c>
      <c r="F47" s="1">
        <f>+[1]PPP!F41-Sheet1!F44-Sheet1!F45-Sheet1!F46</f>
        <v>25217.3136794772</v>
      </c>
      <c r="G47" s="1">
        <f>+[1]PPP!G41-Sheet1!G44-Sheet1!G45-Sheet1!G46</f>
        <v>62170.649735388157</v>
      </c>
      <c r="H47" s="1">
        <f>+[1]PPP!H41-Sheet1!H44-Sheet1!H45-Sheet1!H46</f>
        <v>0</v>
      </c>
      <c r="I47" s="1"/>
      <c r="J47" s="1">
        <f>SUM(B47:H47)</f>
        <v>1485926.1880046919</v>
      </c>
    </row>
    <row r="48" spans="1:11" x14ac:dyDescent="0.3">
      <c r="J48" s="4"/>
    </row>
    <row r="49" spans="1:11" x14ac:dyDescent="0.3">
      <c r="F49" t="s">
        <v>4</v>
      </c>
      <c r="J49" s="3">
        <f>SUM(J44:J48)</f>
        <v>2213599.9280046918</v>
      </c>
    </row>
    <row r="50" spans="1:11" x14ac:dyDescent="0.3">
      <c r="F50" t="s">
        <v>3</v>
      </c>
      <c r="J50" s="3">
        <f>+C8+C9+C10</f>
        <v>2622673.7400000002</v>
      </c>
    </row>
    <row r="52" spans="1:11" x14ac:dyDescent="0.3">
      <c r="F52" t="s">
        <v>2</v>
      </c>
      <c r="J52" s="3">
        <f>+J50-J49</f>
        <v>409073.81199530838</v>
      </c>
    </row>
    <row r="55" spans="1:11" x14ac:dyDescent="0.3">
      <c r="A55" t="s">
        <v>1</v>
      </c>
      <c r="B55" s="3">
        <f>+B47</f>
        <v>69062.292331900448</v>
      </c>
      <c r="C55" s="1">
        <f>(C19+C20+C41*[1]PPP!M36)/52*24-C46</f>
        <v>72061.382174260405</v>
      </c>
      <c r="E55" s="1">
        <f>(E19+E20+E41*[1]PPP!O36)/52*24-E46</f>
        <v>1013630.7692307692</v>
      </c>
      <c r="F55" s="3">
        <f>+F47</f>
        <v>25217.3136794772</v>
      </c>
      <c r="G55" s="1">
        <f>(G19+G20+G41*[1]PPP!Q36)/52*24-G46</f>
        <v>49538.461538461546</v>
      </c>
      <c r="J55" s="3">
        <f>SUM(B55:H55)</f>
        <v>1229510.2189548688</v>
      </c>
      <c r="K55" s="2">
        <f>+J55/J47</f>
        <v>0.82743694059653161</v>
      </c>
    </row>
    <row r="56" spans="1:11" x14ac:dyDescent="0.3">
      <c r="A56" t="s">
        <v>0</v>
      </c>
      <c r="B56">
        <v>0</v>
      </c>
      <c r="C56" s="1">
        <f>+C47-C55</f>
        <v>14242.076683367181</v>
      </c>
      <c r="E56" s="3">
        <f>+E47-E55</f>
        <v>229541.70416952926</v>
      </c>
      <c r="G56" s="3">
        <f>+G47-G55</f>
        <v>12632.188196926611</v>
      </c>
      <c r="J56" s="3">
        <f>SUM(B56:H56)</f>
        <v>256415.96904982306</v>
      </c>
      <c r="K56" s="2">
        <f>+J56/J47</f>
        <v>0.17256305940346844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Laino</dc:creator>
  <cp:lastModifiedBy>Kristina Laino</cp:lastModifiedBy>
  <dcterms:created xsi:type="dcterms:W3CDTF">2021-03-29T21:32:22Z</dcterms:created>
  <dcterms:modified xsi:type="dcterms:W3CDTF">2021-03-29T21:45:11Z</dcterms:modified>
</cp:coreProperties>
</file>